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OneDrive\ACTIVE\GUTACHTEN\"/>
    </mc:Choice>
  </mc:AlternateContent>
  <xr:revisionPtr revIDLastSave="3" documentId="8_{4A1FDC5D-53B5-4523-9808-DEBF63A141FC}" xr6:coauthVersionLast="41" xr6:coauthVersionMax="41" xr10:uidLastSave="{56238A6E-F084-4B9E-A992-ED938DEE7BFA}"/>
  <bookViews>
    <workbookView xWindow="-120" yWindow="-120" windowWidth="29040" windowHeight="15840" xr2:uid="{6F67839F-1520-4FC2-A42E-EE03A1D86A0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17" i="1"/>
  <c r="N22" i="1"/>
  <c r="N23" i="1" s="1"/>
  <c r="N26" i="1" s="1"/>
  <c r="M22" i="1"/>
  <c r="M23" i="1" s="1"/>
  <c r="N17" i="1"/>
  <c r="M17" i="1"/>
  <c r="O23" i="1" l="1"/>
  <c r="O26" i="1" s="1"/>
  <c r="O25" i="1"/>
  <c r="M25" i="1"/>
  <c r="N25" i="1"/>
  <c r="M26" i="1"/>
  <c r="M24" i="1"/>
  <c r="M28" i="1"/>
  <c r="N24" i="1"/>
  <c r="N28" i="1"/>
  <c r="O28" i="1" l="1"/>
  <c r="O15" i="1"/>
  <c r="O16" i="1" s="1"/>
  <c r="O18" i="1" s="1"/>
  <c r="O14" i="1"/>
  <c r="O27" i="1"/>
  <c r="O29" i="1"/>
  <c r="O30" i="1" s="1"/>
  <c r="O24" i="1"/>
  <c r="M15" i="1"/>
  <c r="M16" i="1" s="1"/>
  <c r="M18" i="1" s="1"/>
  <c r="M14" i="1"/>
  <c r="M29" i="1"/>
  <c r="M30" i="1" s="1"/>
  <c r="N27" i="1"/>
  <c r="N14" i="1"/>
  <c r="N29" i="1"/>
  <c r="N30" i="1" s="1"/>
  <c r="N15" i="1"/>
  <c r="N16" i="1" s="1"/>
  <c r="N18" i="1" s="1"/>
  <c r="M27" i="1"/>
  <c r="O19" i="1" l="1"/>
  <c r="M19" i="1"/>
  <c r="N19" i="1"/>
  <c r="G36" i="1" l="1"/>
  <c r="G38" i="1" s="1"/>
  <c r="F36" i="1"/>
  <c r="F38" i="1" s="1"/>
  <c r="G28" i="1" l="1"/>
  <c r="G30" i="1" s="1"/>
  <c r="F28" i="1"/>
  <c r="F30" i="1" s="1"/>
  <c r="G17" i="1"/>
  <c r="G22" i="1" s="1"/>
  <c r="G21" i="1"/>
  <c r="F17" i="1"/>
  <c r="F22" i="1" s="1"/>
  <c r="F23" i="1" s="1"/>
  <c r="G23" i="1" l="1"/>
  <c r="H8" i="1"/>
  <c r="H10" i="1" s="1"/>
  <c r="F14" i="1"/>
  <c r="G8" i="1"/>
  <c r="G10" i="1" s="1"/>
  <c r="F10" i="1"/>
</calcChain>
</file>

<file path=xl/sharedStrings.xml><?xml version="1.0" encoding="utf-8"?>
<sst xmlns="http://schemas.openxmlformats.org/spreadsheetml/2006/main" count="59" uniqueCount="47">
  <si>
    <t>Behandlungskosten</t>
  </si>
  <si>
    <t>Behandelte</t>
  </si>
  <si>
    <t>Behandlungsdauer in Jahren</t>
  </si>
  <si>
    <t>QALY Gewinn</t>
  </si>
  <si>
    <t>Kosten pro QALY</t>
  </si>
  <si>
    <t>Absolute Risk</t>
  </si>
  <si>
    <t>Absolute Risk Reduction</t>
  </si>
  <si>
    <t>Relative Risk Reduction (%)</t>
  </si>
  <si>
    <t>Nicht tödlich 5 Jahre</t>
  </si>
  <si>
    <t xml:space="preserve">Vermeidbar </t>
  </si>
  <si>
    <t>in Jahren</t>
  </si>
  <si>
    <t>RRR</t>
  </si>
  <si>
    <t>Risiko</t>
  </si>
  <si>
    <t xml:space="preserve">Ereignisse </t>
  </si>
  <si>
    <t xml:space="preserve">Personen </t>
  </si>
  <si>
    <t>Tödlich</t>
  </si>
  <si>
    <t>Tödlich und nicht tödlich</t>
  </si>
  <si>
    <t>RRR %</t>
  </si>
  <si>
    <t>Fatal CV event</t>
  </si>
  <si>
    <t>Non-fatal CV event (factor)</t>
  </si>
  <si>
    <t>Cost of fatal CV event</t>
  </si>
  <si>
    <t>Cost of non-fatal CV event (1st year)</t>
  </si>
  <si>
    <t>Cost of non-fatal CV event (after first 1st year)</t>
  </si>
  <si>
    <t>Statin and monitoring cost (per year)</t>
  </si>
  <si>
    <t>Duration of observation (years)</t>
  </si>
  <si>
    <t>Effect [(improvement of life) * (quality)]</t>
  </si>
  <si>
    <t>Total cost (per 1000 individuals)</t>
  </si>
  <si>
    <t>Total cost (per individual)</t>
  </si>
  <si>
    <t>Statin and monitoring cost (obersvation years)</t>
  </si>
  <si>
    <t>Avoided healthcare costs</t>
  </si>
  <si>
    <t>cost : efficiency ratio (Cost per QALY)</t>
  </si>
  <si>
    <t>Fatal CV Risk in % in years</t>
  </si>
  <si>
    <t>Number of individuals</t>
  </si>
  <si>
    <t>Expected fatal CV events</t>
  </si>
  <si>
    <t>Expected non-fatal CV events</t>
  </si>
  <si>
    <t>Total amount of events (deadly &amp; non-deadly)</t>
  </si>
  <si>
    <t>Avoidable fatal CV events</t>
  </si>
  <si>
    <t>Avoidable non-fatal CV events</t>
  </si>
  <si>
    <t>Total amount of avoidable events (deadly &amp; non-deadly)</t>
  </si>
  <si>
    <t>Absolute risk</t>
  </si>
  <si>
    <t>Avoidable risk</t>
  </si>
  <si>
    <t>Number needed to treat (NNT)</t>
  </si>
  <si>
    <t>Tabelle 1: SMB QALY Modell, vereinfachte Darstellung</t>
  </si>
  <si>
    <t>Tabelle 2: SMB QALY Modell, tatsächliche Kosteneffizienzen</t>
  </si>
  <si>
    <t>5 Jahre</t>
  </si>
  <si>
    <t>10 Jahre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</si>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</sst>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9" fontId="0" fillId="2" borderId="0" xfId="1" applyFont="1" applyFill="1"/>
    <xf numFmtId="1" fontId="0" fillId="2" borderId="0" xfId="0" applyNumberFormat="1" applyFill="1"/>
    <xf numFmtId="164" fontId="0" fillId="2" borderId="0" xfId="0" applyNumberForma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5" xfId="0" applyFont="1" applyFill="1" applyBorder="1"/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/>
    <xf numFmtId="3" fontId="4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5" xfId="0" applyFont="1" applyFill="1" applyBorder="1"/>
    <xf numFmtId="2" fontId="5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5" fillId="2" borderId="8" xfId="0" applyFont="1" applyFill="1" applyBorder="1"/>
    <xf numFmtId="1" fontId="5" fillId="2" borderId="9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0" fillId="2" borderId="11" xfId="0" applyFill="1" applyBorder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17B2-55CC-441C-86B5-631EA415A93B}">
  <dimension ref="D3:O38"/>
  <sheetViews>
    <sheetView tabSelected="1" workbookViewId="0">
      <selection activeCell="N20" sqref="N20"/>
    </sheetView>
  </sheetViews>
  <sheetFormatPr baseColWidth="10" defaultColWidth="10.85546875" defaultRowHeight="15" x14ac:dyDescent="0.25"/>
  <cols>
    <col min="1" max="3" width="10.85546875" style="1"/>
    <col min="4" max="4" width="24.5703125" style="1" bestFit="1" customWidth="1"/>
    <col min="5" max="5" width="10.85546875" style="1"/>
    <col min="6" max="7" width="11.42578125" style="1" bestFit="1" customWidth="1"/>
    <col min="8" max="11" width="10.85546875" style="1"/>
    <col min="12" max="12" width="52.85546875" style="1" bestFit="1" customWidth="1"/>
    <col min="13" max="16384" width="10.85546875" style="1"/>
  </cols>
  <sheetData>
    <row r="3" spans="4:15" x14ac:dyDescent="0.25">
      <c r="D3" s="30" t="s">
        <v>42</v>
      </c>
      <c r="L3" s="30" t="s">
        <v>43</v>
      </c>
    </row>
    <row r="5" spans="4:15" x14ac:dyDescent="0.25">
      <c r="M5" s="41" t="s">
        <v>44</v>
      </c>
      <c r="N5" s="41" t="s">
        <v>45</v>
      </c>
      <c r="O5" s="41" t="s">
        <v>45</v>
      </c>
    </row>
    <row r="6" spans="4:15" x14ac:dyDescent="0.25">
      <c r="D6" s="21" t="s">
        <v>1</v>
      </c>
      <c r="E6" s="22"/>
      <c r="F6" s="22">
        <v>100</v>
      </c>
      <c r="G6" s="22">
        <v>100</v>
      </c>
      <c r="H6" s="22">
        <v>100</v>
      </c>
      <c r="I6" s="23"/>
      <c r="L6" s="5" t="s">
        <v>17</v>
      </c>
      <c r="M6" s="6">
        <v>21.06</v>
      </c>
      <c r="N6" s="31">
        <v>21.06</v>
      </c>
      <c r="O6" s="31">
        <v>21.06</v>
      </c>
    </row>
    <row r="7" spans="4:15" x14ac:dyDescent="0.25">
      <c r="D7" s="24" t="s">
        <v>2</v>
      </c>
      <c r="F7" s="1">
        <v>5</v>
      </c>
      <c r="G7" s="1">
        <v>10</v>
      </c>
      <c r="H7" s="1">
        <v>10</v>
      </c>
      <c r="I7" s="25"/>
      <c r="L7" s="7" t="s">
        <v>18</v>
      </c>
      <c r="M7" s="8">
        <v>1</v>
      </c>
      <c r="N7" s="32">
        <v>1</v>
      </c>
      <c r="O7" s="32">
        <v>1</v>
      </c>
    </row>
    <row r="8" spans="4:15" x14ac:dyDescent="0.25">
      <c r="D8" s="24" t="s">
        <v>0</v>
      </c>
      <c r="F8" s="1">
        <v>500000</v>
      </c>
      <c r="G8" s="1">
        <f>F8*2</f>
        <v>1000000</v>
      </c>
      <c r="H8" s="1">
        <f>F8*2</f>
        <v>1000000</v>
      </c>
      <c r="I8" s="25"/>
      <c r="L8" s="7" t="s">
        <v>19</v>
      </c>
      <c r="M8" s="8">
        <v>4.5</v>
      </c>
      <c r="N8" s="32">
        <v>4.5</v>
      </c>
      <c r="O8" s="32">
        <v>4.5</v>
      </c>
    </row>
    <row r="9" spans="4:15" x14ac:dyDescent="0.25">
      <c r="D9" s="24" t="s">
        <v>3</v>
      </c>
      <c r="F9" s="1">
        <v>2.5</v>
      </c>
      <c r="G9" s="1">
        <v>10</v>
      </c>
      <c r="H9" s="1">
        <v>7.5</v>
      </c>
      <c r="I9" s="25"/>
      <c r="L9" s="7" t="s">
        <v>20</v>
      </c>
      <c r="M9" s="9">
        <v>8500</v>
      </c>
      <c r="N9" s="33">
        <v>8500</v>
      </c>
      <c r="O9" s="33">
        <v>8500</v>
      </c>
    </row>
    <row r="10" spans="4:15" x14ac:dyDescent="0.25">
      <c r="D10" s="24" t="s">
        <v>4</v>
      </c>
      <c r="F10" s="1">
        <f>F8/F9</f>
        <v>200000</v>
      </c>
      <c r="G10" s="1">
        <f>G8/G9</f>
        <v>100000</v>
      </c>
      <c r="H10" s="3">
        <f>H8/H9</f>
        <v>133333.33333333334</v>
      </c>
      <c r="I10" s="25"/>
      <c r="L10" s="7" t="s">
        <v>21</v>
      </c>
      <c r="M10" s="9">
        <v>25000</v>
      </c>
      <c r="N10" s="33">
        <v>25000</v>
      </c>
      <c r="O10" s="33">
        <v>25000</v>
      </c>
    </row>
    <row r="11" spans="4:15" x14ac:dyDescent="0.25">
      <c r="D11" s="24"/>
      <c r="H11" s="3"/>
      <c r="I11" s="25"/>
      <c r="L11" s="7" t="s">
        <v>22</v>
      </c>
      <c r="M11" s="9">
        <v>8000</v>
      </c>
      <c r="N11" s="33">
        <v>8000</v>
      </c>
      <c r="O11" s="33">
        <v>8000</v>
      </c>
    </row>
    <row r="12" spans="4:15" x14ac:dyDescent="0.25">
      <c r="D12" s="24" t="s">
        <v>5</v>
      </c>
      <c r="F12" s="1">
        <v>7.5</v>
      </c>
      <c r="H12" s="3"/>
      <c r="I12" s="25"/>
      <c r="L12" s="7" t="s">
        <v>23</v>
      </c>
      <c r="M12" s="9">
        <v>470</v>
      </c>
      <c r="N12" s="33">
        <v>470</v>
      </c>
      <c r="O12" s="33">
        <v>470</v>
      </c>
    </row>
    <row r="13" spans="4:15" x14ac:dyDescent="0.25">
      <c r="D13" s="24" t="s">
        <v>7</v>
      </c>
      <c r="F13" s="2">
        <v>0.2</v>
      </c>
      <c r="H13" s="3"/>
      <c r="I13" s="25"/>
      <c r="L13" s="10" t="s">
        <v>24</v>
      </c>
      <c r="M13" s="11">
        <v>5</v>
      </c>
      <c r="N13" s="34">
        <v>10</v>
      </c>
      <c r="O13" s="34">
        <v>10</v>
      </c>
    </row>
    <row r="14" spans="4:15" x14ac:dyDescent="0.25">
      <c r="D14" s="24" t="s">
        <v>6</v>
      </c>
      <c r="F14" s="1">
        <f>F12*F13</f>
        <v>1.5</v>
      </c>
      <c r="H14" s="3"/>
      <c r="I14" s="25"/>
      <c r="L14" s="12" t="s">
        <v>25</v>
      </c>
      <c r="M14" s="8">
        <f t="shared" ref="M14:N14" si="0">(M25*(M13/2)*1)+(M26*(M13/2)*0.2)</f>
        <v>9.5033250000000002</v>
      </c>
      <c r="N14" s="32">
        <f t="shared" si="0"/>
        <v>26.809380000000004</v>
      </c>
      <c r="O14" s="32">
        <f t="shared" ref="O14" si="1">(O25*(O13/2)*1)+(O26*(O13/2)*0.2)</f>
        <v>150.05250000000001</v>
      </c>
    </row>
    <row r="15" spans="4:15" x14ac:dyDescent="0.25">
      <c r="D15" s="24"/>
      <c r="H15" s="3"/>
      <c r="I15" s="25"/>
      <c r="L15" s="12" t="s">
        <v>26</v>
      </c>
      <c r="M15" s="9">
        <f t="shared" ref="M15:N15" si="2">M25*8500+M26*(((((M13/2)-1))*8000)+25000)</f>
        <v>350122.5</v>
      </c>
      <c r="N15" s="33">
        <f t="shared" si="2"/>
        <v>747840.60000000009</v>
      </c>
      <c r="O15" s="33">
        <f t="shared" ref="O15" si="3">O25*8500+O26*(((((O13/2)-1))*8000)+25000)</f>
        <v>4185675</v>
      </c>
    </row>
    <row r="16" spans="4:15" x14ac:dyDescent="0.25">
      <c r="D16" s="24"/>
      <c r="H16" s="3"/>
      <c r="I16" s="25"/>
      <c r="L16" s="12" t="s">
        <v>27</v>
      </c>
      <c r="M16" s="9">
        <f t="shared" ref="M16:N16" si="4">M15/1000</f>
        <v>350.1225</v>
      </c>
      <c r="N16" s="33">
        <f t="shared" si="4"/>
        <v>747.84060000000011</v>
      </c>
      <c r="O16" s="33">
        <f t="shared" ref="O16" si="5">O15/1000</f>
        <v>4185.6750000000002</v>
      </c>
    </row>
    <row r="17" spans="4:15" x14ac:dyDescent="0.25">
      <c r="D17" s="24" t="s">
        <v>8</v>
      </c>
      <c r="F17">
        <f>4.5*0.2*2.5</f>
        <v>2.25</v>
      </c>
      <c r="G17">
        <f>9*0.2*5</f>
        <v>9</v>
      </c>
      <c r="H17" s="3"/>
      <c r="I17" s="25"/>
      <c r="L17" s="7" t="s">
        <v>28</v>
      </c>
      <c r="M17" s="9">
        <f t="shared" ref="M17:N17" si="6">M12*M13</f>
        <v>2350</v>
      </c>
      <c r="N17" s="33">
        <f t="shared" si="6"/>
        <v>4700</v>
      </c>
      <c r="O17" s="33">
        <f t="shared" ref="O17" si="7">O12*O13</f>
        <v>4700</v>
      </c>
    </row>
    <row r="18" spans="4:15" x14ac:dyDescent="0.25">
      <c r="D18" s="24"/>
      <c r="H18" s="3"/>
      <c r="I18" s="25"/>
      <c r="L18" s="7" t="s">
        <v>29</v>
      </c>
      <c r="M18" s="9">
        <f t="shared" ref="M18:N18" si="8">M17-M16</f>
        <v>1999.8775000000001</v>
      </c>
      <c r="N18" s="33">
        <f t="shared" si="8"/>
        <v>3952.1594</v>
      </c>
      <c r="O18" s="33">
        <f t="shared" ref="O18" si="9">O17-O16</f>
        <v>514.32499999999982</v>
      </c>
    </row>
    <row r="19" spans="4:15" x14ac:dyDescent="0.25">
      <c r="D19" s="24" t="s">
        <v>1</v>
      </c>
      <c r="F19" s="1">
        <v>100</v>
      </c>
      <c r="G19" s="1">
        <v>100</v>
      </c>
      <c r="H19" s="3"/>
      <c r="I19" s="25"/>
      <c r="L19" s="12" t="s">
        <v>30</v>
      </c>
      <c r="M19" s="13">
        <f t="shared" ref="M19:N19" si="10">M18/(M14/1000)</f>
        <v>210439.76713413463</v>
      </c>
      <c r="N19" s="35">
        <f t="shared" si="10"/>
        <v>147417.03836493046</v>
      </c>
      <c r="O19" s="35">
        <f t="shared" ref="O19" si="11">O18/(O14/1000)</f>
        <v>3427.6336615517889</v>
      </c>
    </row>
    <row r="20" spans="4:15" x14ac:dyDescent="0.25">
      <c r="D20" s="24" t="s">
        <v>2</v>
      </c>
      <c r="F20" s="1">
        <v>5</v>
      </c>
      <c r="G20" s="1">
        <v>10</v>
      </c>
      <c r="H20" s="3"/>
      <c r="I20" s="25"/>
      <c r="L20" s="10" t="s">
        <v>31</v>
      </c>
      <c r="M20" s="14">
        <v>0.95</v>
      </c>
      <c r="N20" s="36">
        <v>1.34</v>
      </c>
      <c r="O20" s="36">
        <v>7.5</v>
      </c>
    </row>
    <row r="21" spans="4:15" x14ac:dyDescent="0.25">
      <c r="D21" s="24" t="s">
        <v>0</v>
      </c>
      <c r="F21" s="1">
        <v>500000</v>
      </c>
      <c r="G21" s="1">
        <f>F21*2</f>
        <v>1000000</v>
      </c>
      <c r="H21" s="3"/>
      <c r="I21" s="25"/>
      <c r="L21" s="7" t="s">
        <v>32</v>
      </c>
      <c r="M21" s="15">
        <v>1000</v>
      </c>
      <c r="N21" s="37">
        <v>1000</v>
      </c>
      <c r="O21" s="37">
        <v>1000</v>
      </c>
    </row>
    <row r="22" spans="4:15" x14ac:dyDescent="0.25">
      <c r="D22" s="24" t="s">
        <v>3</v>
      </c>
      <c r="F22" s="1">
        <f>F9+F17</f>
        <v>4.75</v>
      </c>
      <c r="G22" s="1">
        <f>G17+G9</f>
        <v>19</v>
      </c>
      <c r="H22" s="3"/>
      <c r="I22" s="25"/>
      <c r="L22" s="7" t="s">
        <v>33</v>
      </c>
      <c r="M22" s="8">
        <f t="shared" ref="M22:N22" si="12">M20/100*M21</f>
        <v>9.5</v>
      </c>
      <c r="N22" s="32">
        <f t="shared" si="12"/>
        <v>13.4</v>
      </c>
      <c r="O22" s="32">
        <f t="shared" ref="O22" si="13">O20/100*O21</f>
        <v>75</v>
      </c>
    </row>
    <row r="23" spans="4:15" x14ac:dyDescent="0.25">
      <c r="D23" s="24" t="s">
        <v>4</v>
      </c>
      <c r="F23" s="3">
        <f>F21/F22</f>
        <v>105263.15789473684</v>
      </c>
      <c r="G23" s="3">
        <f>G21/G22</f>
        <v>52631.57894736842</v>
      </c>
      <c r="H23" s="3"/>
      <c r="I23" s="25"/>
      <c r="L23" s="7" t="s">
        <v>34</v>
      </c>
      <c r="M23" s="8">
        <f t="shared" ref="M23:N23" si="14">(M22/2)*9</f>
        <v>42.75</v>
      </c>
      <c r="N23" s="32">
        <f t="shared" si="14"/>
        <v>60.300000000000004</v>
      </c>
      <c r="O23" s="32">
        <f t="shared" ref="O23" si="15">(O22/2)*9</f>
        <v>337.5</v>
      </c>
    </row>
    <row r="24" spans="4:15" x14ac:dyDescent="0.25">
      <c r="D24" s="24"/>
      <c r="I24" s="25"/>
      <c r="L24" s="12" t="s">
        <v>35</v>
      </c>
      <c r="M24" s="8">
        <f t="shared" ref="M24:N24" si="16">M22+M23</f>
        <v>52.25</v>
      </c>
      <c r="N24" s="32">
        <f t="shared" si="16"/>
        <v>73.7</v>
      </c>
      <c r="O24" s="32">
        <f t="shared" ref="O24" si="17">O22+O23</f>
        <v>412.5</v>
      </c>
    </row>
    <row r="25" spans="4:15" x14ac:dyDescent="0.25">
      <c r="D25" s="24" t="s">
        <v>15</v>
      </c>
      <c r="E25" s="1" t="s">
        <v>10</v>
      </c>
      <c r="F25" s="1">
        <v>5</v>
      </c>
      <c r="G25" s="1">
        <v>10</v>
      </c>
      <c r="I25" s="25"/>
      <c r="L25" s="16" t="s">
        <v>36</v>
      </c>
      <c r="M25" s="17">
        <f>M22*0.2106</f>
        <v>2.0007000000000001</v>
      </c>
      <c r="N25" s="38">
        <f>N22*0.2106</f>
        <v>2.8220400000000003</v>
      </c>
      <c r="O25" s="38">
        <f>O22*0.2106</f>
        <v>15.795</v>
      </c>
    </row>
    <row r="26" spans="4:15" x14ac:dyDescent="0.25">
      <c r="D26" s="24" t="s">
        <v>9</v>
      </c>
      <c r="F26" s="1">
        <v>2</v>
      </c>
      <c r="G26" s="1">
        <v>4</v>
      </c>
      <c r="I26" s="25"/>
      <c r="L26" s="7" t="s">
        <v>37</v>
      </c>
      <c r="M26" s="18">
        <f>M23*0.2106</f>
        <v>9.0031499999999998</v>
      </c>
      <c r="N26" s="39">
        <f>N23*0.2106</f>
        <v>12.699180000000002</v>
      </c>
      <c r="O26" s="39">
        <f>O23*0.2106</f>
        <v>71.077500000000001</v>
      </c>
    </row>
    <row r="27" spans="4:15" x14ac:dyDescent="0.25">
      <c r="D27" s="24" t="s">
        <v>11</v>
      </c>
      <c r="F27" s="2">
        <v>0.2</v>
      </c>
      <c r="G27" s="2">
        <v>0.2</v>
      </c>
      <c r="I27" s="25"/>
      <c r="L27" s="12" t="s">
        <v>38</v>
      </c>
      <c r="M27" s="18">
        <f t="shared" ref="M27:N27" si="18">M25+M26</f>
        <v>11.00385</v>
      </c>
      <c r="N27" s="39">
        <f t="shared" si="18"/>
        <v>15.521220000000003</v>
      </c>
      <c r="O27" s="39">
        <f t="shared" ref="O27" si="19">O25+O26</f>
        <v>86.872500000000002</v>
      </c>
    </row>
    <row r="28" spans="4:15" x14ac:dyDescent="0.25">
      <c r="D28" s="24" t="s">
        <v>13</v>
      </c>
      <c r="F28" s="1">
        <f>F26*5</f>
        <v>10</v>
      </c>
      <c r="G28" s="1">
        <f>G26*5</f>
        <v>20</v>
      </c>
      <c r="I28" s="25"/>
      <c r="L28" s="7" t="s">
        <v>39</v>
      </c>
      <c r="M28" s="18">
        <f t="shared" ref="M28:N28" si="20">(M22+M23)/M21*100</f>
        <v>5.2249999999999996</v>
      </c>
      <c r="N28" s="39">
        <f t="shared" si="20"/>
        <v>7.37</v>
      </c>
      <c r="O28" s="39">
        <f t="shared" ref="O28" si="21">(O22+O23)/O21*100</f>
        <v>41.25</v>
      </c>
    </row>
    <row r="29" spans="4:15" x14ac:dyDescent="0.25">
      <c r="D29" s="24" t="s">
        <v>14</v>
      </c>
      <c r="F29" s="1">
        <v>1000</v>
      </c>
      <c r="G29" s="1">
        <v>1000</v>
      </c>
      <c r="I29" s="25"/>
      <c r="L29" s="7" t="s">
        <v>40</v>
      </c>
      <c r="M29" s="18">
        <f t="shared" ref="M29:N29" si="22">(M25+M26)/M21*100</f>
        <v>1.1003849999999999</v>
      </c>
      <c r="N29" s="39">
        <f t="shared" si="22"/>
        <v>1.5521220000000004</v>
      </c>
      <c r="O29" s="39">
        <f t="shared" ref="O29" si="23">(O25+O26)/O21*100</f>
        <v>8.6872500000000006</v>
      </c>
    </row>
    <row r="30" spans="4:15" x14ac:dyDescent="0.25">
      <c r="D30" s="24" t="s">
        <v>12</v>
      </c>
      <c r="F30" s="4">
        <f>F29/10000*F28</f>
        <v>1</v>
      </c>
      <c r="G30" s="4">
        <f>G29/10000*G28</f>
        <v>2</v>
      </c>
      <c r="I30" s="25"/>
      <c r="L30" s="19" t="s">
        <v>41</v>
      </c>
      <c r="M30" s="20">
        <f t="shared" ref="M30:N30" si="24">100/M29</f>
        <v>90.877283859740004</v>
      </c>
      <c r="N30" s="40">
        <f t="shared" si="24"/>
        <v>64.427925124442524</v>
      </c>
      <c r="O30" s="40">
        <f t="shared" ref="O30" si="25">100/O29</f>
        <v>11.511122622233733</v>
      </c>
    </row>
    <row r="31" spans="4:15" x14ac:dyDescent="0.25">
      <c r="D31" s="24"/>
      <c r="I31" s="25"/>
    </row>
    <row r="32" spans="4:15" x14ac:dyDescent="0.25">
      <c r="D32" s="24"/>
      <c r="I32" s="25"/>
    </row>
    <row r="33" spans="4:13" x14ac:dyDescent="0.25">
      <c r="D33" s="24" t="s">
        <v>16</v>
      </c>
      <c r="E33" s="1" t="s">
        <v>10</v>
      </c>
      <c r="F33" s="1">
        <v>5</v>
      </c>
      <c r="G33" s="1">
        <v>10</v>
      </c>
      <c r="I33" s="25"/>
    </row>
    <row r="34" spans="4:13" x14ac:dyDescent="0.25">
      <c r="D34" s="24" t="s">
        <v>9</v>
      </c>
      <c r="F34" s="1">
        <v>9</v>
      </c>
      <c r="G34" s="1">
        <v>18</v>
      </c>
      <c r="I34" s="25"/>
      <c r="M34" s="1" t="s">
        <v>46</v>
      </c>
    </row>
    <row r="35" spans="4:13" x14ac:dyDescent="0.25">
      <c r="D35" s="24" t="s">
        <v>11</v>
      </c>
      <c r="F35" s="2">
        <v>0.2</v>
      </c>
      <c r="G35" s="2">
        <v>0.2</v>
      </c>
      <c r="I35" s="25"/>
    </row>
    <row r="36" spans="4:13" x14ac:dyDescent="0.25">
      <c r="D36" s="24" t="s">
        <v>13</v>
      </c>
      <c r="F36" s="1">
        <f>F34*5</f>
        <v>45</v>
      </c>
      <c r="G36" s="1">
        <f>G34*5</f>
        <v>90</v>
      </c>
      <c r="I36" s="25"/>
    </row>
    <row r="37" spans="4:13" x14ac:dyDescent="0.25">
      <c r="D37" s="24" t="s">
        <v>14</v>
      </c>
      <c r="F37" s="1">
        <v>1000</v>
      </c>
      <c r="G37" s="1">
        <v>1000</v>
      </c>
      <c r="I37" s="25"/>
    </row>
    <row r="38" spans="4:13" x14ac:dyDescent="0.25">
      <c r="D38" s="26" t="s">
        <v>12</v>
      </c>
      <c r="E38" s="27"/>
      <c r="F38" s="28">
        <f>F37/10000*F36</f>
        <v>4.5</v>
      </c>
      <c r="G38" s="28">
        <f>G37/10000*G36</f>
        <v>9</v>
      </c>
      <c r="H38" s="27"/>
      <c r="I38" s="29"/>
    </row>
  </sheetData>
  <pageMargins left="0.7" right="0.7" top="0.78740157499999996" bottom="0.78740157499999996" header="0.3" footer="0.3"/>
  <pageSetup paperSize="9" orientation="portrait" r:id="rId1"/>
  <ignoredErrors>
    <ignoredError sqref="N25: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Romanens Michel</cp:lastModifiedBy>
  <dcterms:created xsi:type="dcterms:W3CDTF">2019-03-15T20:25:45Z</dcterms:created>
  <dcterms:modified xsi:type="dcterms:W3CDTF">2019-03-21T13:22:02Z</dcterms:modified>
</cp:coreProperties>
</file>