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y\Dropbox\"/>
    </mc:Choice>
  </mc:AlternateContent>
  <bookViews>
    <workbookView xWindow="480" yWindow="432" windowWidth="19872" windowHeight="7716" activeTab="2"/>
  </bookViews>
  <sheets>
    <sheet name="CTT" sheetId="1" r:id="rId1"/>
    <sheet name="QALY" sheetId="2" r:id="rId2"/>
    <sheet name="SENS" sheetId="3" r:id="rId3"/>
  </sheets>
  <calcPr calcId="152511"/>
</workbook>
</file>

<file path=xl/calcChain.xml><?xml version="1.0" encoding="utf-8"?>
<calcChain xmlns="http://schemas.openxmlformats.org/spreadsheetml/2006/main">
  <c r="E9" i="3" l="1"/>
  <c r="E8" i="3"/>
  <c r="E10" i="3" s="1"/>
  <c r="E4" i="3"/>
  <c r="E5" i="3" s="1"/>
  <c r="E3" i="3"/>
  <c r="D9" i="3"/>
  <c r="D8" i="3"/>
  <c r="D4" i="3"/>
  <c r="D3" i="3"/>
  <c r="C9" i="3"/>
  <c r="C8" i="3"/>
  <c r="C10" i="3" s="1"/>
  <c r="C4" i="3"/>
  <c r="C3" i="3"/>
  <c r="D10" i="3" l="1"/>
  <c r="D5" i="3"/>
  <c r="C5" i="3"/>
  <c r="E22" i="2" l="1"/>
  <c r="D22" i="2"/>
  <c r="C22" i="2"/>
  <c r="C23" i="2"/>
  <c r="D23" i="2"/>
  <c r="E23" i="2"/>
  <c r="J19" i="2" l="1"/>
  <c r="J22" i="2" s="1"/>
  <c r="I19" i="2"/>
  <c r="H19" i="2"/>
  <c r="H22" i="2" s="1"/>
  <c r="G19" i="2"/>
  <c r="G20" i="2" s="1"/>
  <c r="G23" i="2" s="1"/>
  <c r="J14" i="2"/>
  <c r="I14" i="2"/>
  <c r="H14" i="2"/>
  <c r="G14" i="2"/>
  <c r="G25" i="2" l="1"/>
  <c r="G22" i="2"/>
  <c r="G12" i="2" s="1"/>
  <c r="G13" i="2" s="1"/>
  <c r="G15" i="2" s="1"/>
  <c r="I20" i="2"/>
  <c r="I22" i="2"/>
  <c r="G11" i="2"/>
  <c r="G24" i="2"/>
  <c r="G26" i="2"/>
  <c r="G27" i="2" s="1"/>
  <c r="J20" i="2"/>
  <c r="J23" i="2" s="1"/>
  <c r="G21" i="2"/>
  <c r="H20" i="2"/>
  <c r="I12" i="2" l="1"/>
  <c r="I13" i="2" s="1"/>
  <c r="I15" i="2" s="1"/>
  <c r="I23" i="2"/>
  <c r="I24" i="2" s="1"/>
  <c r="I21" i="2"/>
  <c r="I25" i="2"/>
  <c r="H23" i="2"/>
  <c r="H12" i="2" s="1"/>
  <c r="H13" i="2" s="1"/>
  <c r="H15" i="2" s="1"/>
  <c r="H25" i="2"/>
  <c r="G16" i="2"/>
  <c r="J11" i="2"/>
  <c r="J26" i="2"/>
  <c r="J27" i="2" s="1"/>
  <c r="J24" i="2"/>
  <c r="J12" i="2"/>
  <c r="J13" i="2" s="1"/>
  <c r="J15" i="2" s="1"/>
  <c r="J25" i="2"/>
  <c r="J21" i="2"/>
  <c r="H21" i="2"/>
  <c r="I7" i="1"/>
  <c r="I6" i="1"/>
  <c r="I11" i="2" l="1"/>
  <c r="I16" i="2" s="1"/>
  <c r="I26" i="2"/>
  <c r="I27" i="2" s="1"/>
  <c r="H24" i="2"/>
  <c r="H26" i="2"/>
  <c r="H27" i="2" s="1"/>
  <c r="H11" i="2"/>
  <c r="H16" i="2" s="1"/>
  <c r="J16" i="2"/>
  <c r="E19" i="2"/>
  <c r="D19" i="2"/>
  <c r="C19" i="2"/>
  <c r="B19" i="2"/>
  <c r="B22" i="2" s="1"/>
  <c r="E14" i="2"/>
  <c r="D14" i="2"/>
  <c r="C14" i="2"/>
  <c r="B14" i="2"/>
  <c r="C20" i="2" l="1"/>
  <c r="B20" i="2"/>
  <c r="B23" i="2" s="1"/>
  <c r="D20" i="2"/>
  <c r="D24" i="2" s="1"/>
  <c r="E20" i="2"/>
  <c r="E24" i="2" s="1"/>
  <c r="E21" i="2" l="1"/>
  <c r="C26" i="2"/>
  <c r="C27" i="2" s="1"/>
  <c r="C25" i="2"/>
  <c r="C21" i="2"/>
  <c r="B25" i="2"/>
  <c r="B21" i="2"/>
  <c r="E11" i="2"/>
  <c r="E26" i="2"/>
  <c r="E27" i="2" s="1"/>
  <c r="E12" i="2"/>
  <c r="E13" i="2" s="1"/>
  <c r="E15" i="2" s="1"/>
  <c r="D26" i="2"/>
  <c r="D27" i="2" s="1"/>
  <c r="D12" i="2"/>
  <c r="D13" i="2" s="1"/>
  <c r="D15" i="2" s="1"/>
  <c r="D11" i="2"/>
  <c r="D21" i="2"/>
  <c r="B11" i="2"/>
  <c r="B26" i="2"/>
  <c r="B27" i="2" s="1"/>
  <c r="B24" i="2"/>
  <c r="B12" i="2"/>
  <c r="B13" i="2" s="1"/>
  <c r="B15" i="2" s="1"/>
  <c r="E25" i="2"/>
  <c r="D25" i="2"/>
  <c r="E8" i="1"/>
  <c r="B8" i="1"/>
  <c r="J7" i="1"/>
  <c r="H7" i="1"/>
  <c r="G7" i="1"/>
  <c r="D7" i="1"/>
  <c r="J6" i="1"/>
  <c r="H6" i="1"/>
  <c r="G6" i="1"/>
  <c r="G8" i="1" s="1"/>
  <c r="D6" i="1"/>
  <c r="D8" i="1" s="1"/>
  <c r="C11" i="2" l="1"/>
  <c r="C24" i="2"/>
  <c r="C12" i="2"/>
  <c r="C13" i="2" s="1"/>
  <c r="C15" i="2" s="1"/>
  <c r="D16" i="2"/>
  <c r="B16" i="2"/>
  <c r="E16" i="2"/>
  <c r="F8" i="1"/>
  <c r="C8" i="1"/>
  <c r="C9" i="1" l="1"/>
  <c r="C12" i="1"/>
  <c r="C13" i="1" s="1"/>
  <c r="F9" i="1"/>
  <c r="I8" i="1"/>
  <c r="J8" i="1" s="1"/>
  <c r="F12" i="1"/>
  <c r="C16" i="2"/>
  <c r="H8" i="1"/>
  <c r="F10" i="1" l="1"/>
  <c r="I9" i="1"/>
  <c r="J9" i="1" s="1"/>
  <c r="F13" i="1"/>
  <c r="C14" i="1" s="1"/>
  <c r="I12" i="1"/>
  <c r="J12" i="1" s="1"/>
  <c r="C10" i="1"/>
  <c r="H9" i="1"/>
  <c r="C11" i="1" l="1"/>
</calcChain>
</file>

<file path=xl/sharedStrings.xml><?xml version="1.0" encoding="utf-8"?>
<sst xmlns="http://schemas.openxmlformats.org/spreadsheetml/2006/main" count="105" uniqueCount="73">
  <si>
    <t>Verum</t>
  </si>
  <si>
    <t>Control</t>
  </si>
  <si>
    <t xml:space="preserve"> </t>
  </si>
  <si>
    <t xml:space="preserve">% </t>
  </si>
  <si>
    <t>All</t>
  </si>
  <si>
    <t>0% to 4%</t>
  </si>
  <si>
    <t>5% to 9%</t>
  </si>
  <si>
    <t>CTT Appendix 2012, webfigure 5</t>
  </si>
  <si>
    <t>RRR</t>
  </si>
  <si>
    <t>ARR</t>
  </si>
  <si>
    <t>NNT</t>
  </si>
  <si>
    <t>Event/year</t>
  </si>
  <si>
    <t>Statin and monitoring cost (per year)</t>
  </si>
  <si>
    <t>Duration of observation (years)</t>
  </si>
  <si>
    <t>Effect [(improvement of life) * (quality)]</t>
  </si>
  <si>
    <t>Total cost (per 1000 individuals)</t>
  </si>
  <si>
    <t>Total cost (per individual)</t>
  </si>
  <si>
    <t>Statin and monitoring cost (obersvation years)</t>
  </si>
  <si>
    <t>Avoided healthcare costs</t>
  </si>
  <si>
    <t>cost : efficiency ratio (Cost per QALY)</t>
  </si>
  <si>
    <t>Number of individuals</t>
  </si>
  <si>
    <t>Total amount of events (deadly &amp; non-deadly)</t>
  </si>
  <si>
    <t>Absolute risk</t>
  </si>
  <si>
    <t>Avoidable risk</t>
  </si>
  <si>
    <t>Number needed to treat (NNT)</t>
  </si>
  <si>
    <t>N in 1000 in 10 years</t>
  </si>
  <si>
    <t>Fatal event</t>
  </si>
  <si>
    <t>non fatal event</t>
  </si>
  <si>
    <t>cost of fatal event</t>
  </si>
  <si>
    <t>Cost of non-fatal event (1st year)</t>
  </si>
  <si>
    <t>Cost of non-fatal event (after first 1st year)</t>
  </si>
  <si>
    <t>Expected fatal attacks</t>
  </si>
  <si>
    <t>Expected non-fatal  attacks</t>
  </si>
  <si>
    <t>Avoidable non-fatal  attacks</t>
  </si>
  <si>
    <t>Fatal  Risk in % in years</t>
  </si>
  <si>
    <t>Avoidable fatal  attacks</t>
  </si>
  <si>
    <t>Effects of major vascular event per 1.0 mmol/L reduction in LDL cholesterol in 22 statin vs control trials</t>
  </si>
  <si>
    <t>Annual Risk</t>
  </si>
  <si>
    <t>relative risk reduction 30%</t>
  </si>
  <si>
    <t>relative risk reduction 22%</t>
  </si>
  <si>
    <t>SMB cost/QALY model</t>
  </si>
  <si>
    <t>% events (MVE) in 5 years</t>
  </si>
  <si>
    <t>N events per 1000 in 5 years</t>
  </si>
  <si>
    <t>Avoided MVE in 5 years</t>
  </si>
  <si>
    <t>Avoided MVE in 10 years</t>
  </si>
  <si>
    <t>% events (MVE) in 10 years</t>
  </si>
  <si>
    <t>original webfigure copy</t>
  </si>
  <si>
    <t>Table 1a</t>
  </si>
  <si>
    <t>Table 1b</t>
  </si>
  <si>
    <t>5 years</t>
  </si>
  <si>
    <t>10 years</t>
  </si>
  <si>
    <t>CH-SCORE %</t>
  </si>
  <si>
    <t>40-55 (N)</t>
  </si>
  <si>
    <t>TPA80 (N)</t>
  </si>
  <si>
    <t>TPA80 (%)</t>
  </si>
  <si>
    <t>56-65 (N)</t>
  </si>
  <si>
    <t>0.00-0.99</t>
  </si>
  <si>
    <t>1.00-2.49</t>
  </si>
  <si>
    <t>2.50-4.99</t>
  </si>
  <si>
    <t>5.00-7.49</t>
  </si>
  <si>
    <t>7.50+</t>
  </si>
  <si>
    <t>Total</t>
  </si>
  <si>
    <t>DE-SCORE %</t>
  </si>
  <si>
    <t>TPA80</t>
  </si>
  <si>
    <t>(%)</t>
  </si>
  <si>
    <t>SCORE Threshold DE</t>
  </si>
  <si>
    <t>SCORE Threshold CH</t>
  </si>
  <si>
    <t>True Positives (N)</t>
  </si>
  <si>
    <t>False Negatives (N)</t>
  </si>
  <si>
    <t>Sensitivity (%)</t>
  </si>
  <si>
    <t>Total amount of avoidable events</t>
  </si>
  <si>
    <t>perform your own calculations</t>
  </si>
  <si>
    <t>www.docfind.ch/StatinEconimist.xlsx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</si>
</sst>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5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Border="1"/>
    <xf numFmtId="3" fontId="3" fillId="2" borderId="5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5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7" fillId="2" borderId="2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9" fillId="2" borderId="0" xfId="2" applyFill="1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769620</xdr:colOff>
      <xdr:row>2</xdr:row>
      <xdr:rowOff>175260</xdr:rowOff>
    </xdr:from>
    <xdr:to>
      <xdr:col>17</xdr:col>
      <xdr:colOff>348262</xdr:colOff>
      <xdr:row>14</xdr:row>
      <xdr:rowOff>45720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541020"/>
          <a:ext cx="5126002" cy="2065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cfind.ch/StatinEconimist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ocfind.ch/StatinEconimist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ocfind.ch/StatinEconimis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18" sqref="A18:A19"/>
    </sheetView>
  </sheetViews>
  <sheetFormatPr baseColWidth="10" defaultRowHeight="14.4" x14ac:dyDescent="0.3"/>
  <cols>
    <col min="1" max="1" width="23.88671875" style="1" customWidth="1"/>
    <col min="2" max="2" width="11.44140625" style="2"/>
    <col min="3" max="4" width="9.21875" style="2" customWidth="1"/>
    <col min="5" max="5" width="10" style="2" customWidth="1"/>
    <col min="6" max="10" width="9.21875" style="2" customWidth="1"/>
    <col min="11" max="16384" width="11.5546875" style="1"/>
  </cols>
  <sheetData>
    <row r="1" spans="1:12" s="5" customFormat="1" x14ac:dyDescent="0.3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L1" s="5" t="s">
        <v>7</v>
      </c>
    </row>
    <row r="2" spans="1:12" s="5" customFormat="1" x14ac:dyDescent="0.3">
      <c r="A2" s="5" t="s">
        <v>36</v>
      </c>
      <c r="B2" s="6"/>
      <c r="C2" s="6"/>
      <c r="D2" s="6"/>
      <c r="E2" s="6"/>
      <c r="F2" s="6"/>
      <c r="G2" s="6"/>
      <c r="H2" s="6"/>
      <c r="I2" s="6"/>
      <c r="J2" s="6"/>
      <c r="L2" s="5" t="s">
        <v>46</v>
      </c>
    </row>
    <row r="3" spans="1:12" s="5" customFormat="1" x14ac:dyDescent="0.3">
      <c r="B3" s="6"/>
      <c r="C3" s="6"/>
      <c r="D3" s="6"/>
      <c r="E3" s="6"/>
      <c r="F3" s="6"/>
      <c r="G3" s="6"/>
      <c r="H3" s="6"/>
      <c r="I3" s="6"/>
      <c r="J3" s="6"/>
    </row>
    <row r="4" spans="1:12" x14ac:dyDescent="0.3">
      <c r="A4" s="8"/>
      <c r="B4" s="9" t="s">
        <v>0</v>
      </c>
      <c r="C4" s="9" t="s">
        <v>2</v>
      </c>
      <c r="D4" s="9" t="s">
        <v>2</v>
      </c>
      <c r="E4" s="9" t="s">
        <v>1</v>
      </c>
      <c r="F4" s="9"/>
      <c r="G4" s="9"/>
      <c r="H4" s="10" t="s">
        <v>2</v>
      </c>
      <c r="I4" s="9"/>
      <c r="J4" s="9"/>
    </row>
    <row r="5" spans="1:12" x14ac:dyDescent="0.3">
      <c r="A5" s="8" t="s">
        <v>37</v>
      </c>
      <c r="B5" s="9" t="s">
        <v>11</v>
      </c>
      <c r="C5" s="9" t="s">
        <v>3</v>
      </c>
      <c r="D5" s="9" t="s">
        <v>4</v>
      </c>
      <c r="E5" s="9" t="s">
        <v>11</v>
      </c>
      <c r="F5" s="9" t="s">
        <v>3</v>
      </c>
      <c r="G5" s="9" t="s">
        <v>4</v>
      </c>
      <c r="H5" s="9" t="s">
        <v>8</v>
      </c>
      <c r="I5" s="9" t="s">
        <v>9</v>
      </c>
      <c r="J5" s="9" t="s">
        <v>10</v>
      </c>
    </row>
    <row r="6" spans="1:12" x14ac:dyDescent="0.3">
      <c r="A6" s="8" t="s">
        <v>5</v>
      </c>
      <c r="B6" s="9">
        <v>167</v>
      </c>
      <c r="C6" s="9">
        <v>0.38</v>
      </c>
      <c r="D6" s="11">
        <f>B6/C6*100</f>
        <v>43947.368421052633</v>
      </c>
      <c r="E6" s="9">
        <v>254</v>
      </c>
      <c r="F6" s="9">
        <v>0.56000000000000005</v>
      </c>
      <c r="G6" s="11">
        <f>E6/F6*100</f>
        <v>45357.142857142855</v>
      </c>
      <c r="H6" s="12">
        <f>100-(C6/F6*100)</f>
        <v>32.142857142857153</v>
      </c>
      <c r="I6" s="9">
        <f>F6-C6</f>
        <v>0.18000000000000005</v>
      </c>
      <c r="J6" s="11">
        <f>100/I6</f>
        <v>555.55555555555543</v>
      </c>
    </row>
    <row r="7" spans="1:12" x14ac:dyDescent="0.3">
      <c r="A7" s="8" t="s">
        <v>6</v>
      </c>
      <c r="B7" s="9">
        <v>596</v>
      </c>
      <c r="C7" s="9">
        <v>1.0900000000000001</v>
      </c>
      <c r="D7" s="11">
        <f t="shared" ref="D7" si="0">B7/C7*100</f>
        <v>54678.899082568809</v>
      </c>
      <c r="E7" s="9">
        <v>840</v>
      </c>
      <c r="F7" s="9">
        <v>1.56</v>
      </c>
      <c r="G7" s="11">
        <f t="shared" ref="G7" si="1">E7/F7*100</f>
        <v>53846.153846153844</v>
      </c>
      <c r="H7" s="12">
        <f t="shared" ref="H7:H8" si="2">100-(C7/F7*100)</f>
        <v>30.128205128205124</v>
      </c>
      <c r="I7" s="9">
        <f t="shared" ref="I7:I9" si="3">F7-C7</f>
        <v>0.47</v>
      </c>
      <c r="J7" s="11">
        <f t="shared" ref="J7:J8" si="4">100/I7</f>
        <v>212.76595744680853</v>
      </c>
    </row>
    <row r="8" spans="1:12" x14ac:dyDescent="0.3">
      <c r="A8" s="8" t="s">
        <v>4</v>
      </c>
      <c r="B8" s="9">
        <f>SUM(B6:B7)</f>
        <v>763</v>
      </c>
      <c r="C8" s="7">
        <f>B8*100/D8</f>
        <v>0.77362757337641674</v>
      </c>
      <c r="D8" s="11">
        <f>SUM(D6:D7)</f>
        <v>98626.267503621435</v>
      </c>
      <c r="E8" s="9">
        <f>SUM(E6:E7)</f>
        <v>1094</v>
      </c>
      <c r="F8" s="7">
        <f>E8*100/G8</f>
        <v>1.102785931874827</v>
      </c>
      <c r="G8" s="11">
        <f>SUM(G6:G7)</f>
        <v>99203.296703296699</v>
      </c>
      <c r="H8" s="12">
        <f t="shared" si="2"/>
        <v>29.847892413608676</v>
      </c>
      <c r="I8" s="7">
        <f t="shared" si="3"/>
        <v>0.32915835849841024</v>
      </c>
      <c r="J8" s="11">
        <f t="shared" si="4"/>
        <v>303.80513639754031</v>
      </c>
    </row>
    <row r="9" spans="1:12" x14ac:dyDescent="0.3">
      <c r="A9" s="8" t="s">
        <v>41</v>
      </c>
      <c r="B9" s="9"/>
      <c r="C9" s="7">
        <f>C8*5</f>
        <v>3.8681378668820838</v>
      </c>
      <c r="D9" s="7"/>
      <c r="E9" s="7"/>
      <c r="F9" s="7">
        <f>F8*5</f>
        <v>5.5139296593741349</v>
      </c>
      <c r="G9" s="11"/>
      <c r="H9" s="12">
        <f t="shared" ref="H9" si="5">100-(C9/F9*100)</f>
        <v>29.847892413608676</v>
      </c>
      <c r="I9" s="7">
        <f t="shared" si="3"/>
        <v>1.6457917924920511</v>
      </c>
      <c r="J9" s="11">
        <f t="shared" ref="J9" si="6">100/I9</f>
        <v>60.76102727950807</v>
      </c>
    </row>
    <row r="10" spans="1:12" x14ac:dyDescent="0.3">
      <c r="A10" s="8" t="s">
        <v>42</v>
      </c>
      <c r="B10" s="9"/>
      <c r="C10" s="7">
        <f>C9*10</f>
        <v>38.681378668820841</v>
      </c>
      <c r="D10" s="7"/>
      <c r="E10" s="7"/>
      <c r="F10" s="7">
        <f>F9*10</f>
        <v>55.139296593741349</v>
      </c>
      <c r="G10" s="11"/>
      <c r="H10" s="11"/>
      <c r="I10" s="12"/>
      <c r="J10" s="11"/>
    </row>
    <row r="11" spans="1:12" x14ac:dyDescent="0.3">
      <c r="A11" s="8" t="s">
        <v>43</v>
      </c>
      <c r="B11" s="9"/>
      <c r="C11" s="7">
        <f>F10-C10</f>
        <v>16.457917924920508</v>
      </c>
      <c r="D11" s="7"/>
      <c r="E11" s="7"/>
      <c r="F11" s="7"/>
      <c r="G11" s="11"/>
      <c r="H11" s="11"/>
      <c r="I11" s="12"/>
      <c r="J11" s="11"/>
    </row>
    <row r="12" spans="1:12" x14ac:dyDescent="0.3">
      <c r="A12" s="8" t="s">
        <v>45</v>
      </c>
      <c r="B12" s="9"/>
      <c r="C12" s="7">
        <f>C8*10</f>
        <v>7.7362757337641677</v>
      </c>
      <c r="D12" s="7"/>
      <c r="E12" s="7"/>
      <c r="F12" s="7">
        <f>F8*10</f>
        <v>11.02785931874827</v>
      </c>
      <c r="G12" s="11"/>
      <c r="H12" s="11"/>
      <c r="I12" s="7">
        <f t="shared" ref="I12" si="7">F12-C12</f>
        <v>3.2915835849841022</v>
      </c>
      <c r="J12" s="11">
        <f t="shared" ref="J12" si="8">100/I12</f>
        <v>30.380513639754035</v>
      </c>
    </row>
    <row r="13" spans="1:12" x14ac:dyDescent="0.3">
      <c r="A13" s="8" t="s">
        <v>25</v>
      </c>
      <c r="B13" s="9"/>
      <c r="C13" s="7">
        <f>C12*10</f>
        <v>77.362757337641682</v>
      </c>
      <c r="D13" s="7"/>
      <c r="E13" s="7"/>
      <c r="F13" s="7">
        <f>F12*10</f>
        <v>110.2785931874827</v>
      </c>
      <c r="G13" s="11"/>
      <c r="H13" s="11"/>
      <c r="I13" s="12"/>
      <c r="J13" s="11"/>
    </row>
    <row r="14" spans="1:12" x14ac:dyDescent="0.3">
      <c r="A14" s="8" t="s">
        <v>44</v>
      </c>
      <c r="B14" s="9"/>
      <c r="C14" s="7">
        <f>F13-C13</f>
        <v>32.915835849841017</v>
      </c>
      <c r="D14" s="7"/>
      <c r="E14" s="7"/>
      <c r="F14" s="7"/>
      <c r="G14" s="11"/>
      <c r="H14" s="11"/>
      <c r="I14" s="12"/>
      <c r="J14" s="11"/>
    </row>
    <row r="15" spans="1:12" x14ac:dyDescent="0.3">
      <c r="D15" s="3"/>
      <c r="G15" s="3"/>
      <c r="H15" s="3"/>
      <c r="I15" s="4"/>
      <c r="J15" s="3"/>
    </row>
    <row r="18" spans="1:3" x14ac:dyDescent="0.3">
      <c r="A18" s="1" t="s">
        <v>71</v>
      </c>
      <c r="C18" s="2" t="s">
        <v>2</v>
      </c>
    </row>
    <row r="19" spans="1:3" x14ac:dyDescent="0.3">
      <c r="A19" s="89" t="s">
        <v>72</v>
      </c>
    </row>
  </sheetData>
  <hyperlinks>
    <hyperlink ref="A19" r:id="rId1"/>
  </hyperlinks>
  <pageMargins left="0.7" right="0.7" top="0.78740157499999996" bottom="0.78740157499999996" header="0.3" footer="0.3"/>
  <pageSetup paperSize="9" orientation="portrait" r:id="rId2"/>
  <ignoredErrors>
    <ignoredError sqref="C8 F8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0" zoomScaleNormal="80" workbookViewId="0">
      <selection activeCell="A31" sqref="A31:A32"/>
    </sheetView>
  </sheetViews>
  <sheetFormatPr baseColWidth="10" defaultRowHeight="14.4" x14ac:dyDescent="0.3"/>
  <cols>
    <col min="1" max="1" width="42.44140625" style="1" customWidth="1"/>
    <col min="2" max="5" width="11.5546875" style="1"/>
    <col min="6" max="6" width="2.77734375" style="1" customWidth="1"/>
    <col min="7" max="16384" width="11.5546875" style="1"/>
  </cols>
  <sheetData>
    <row r="1" spans="1:10" s="13" customFormat="1" x14ac:dyDescent="0.3">
      <c r="A1" s="1"/>
      <c r="B1" s="63" t="s">
        <v>47</v>
      </c>
      <c r="E1" s="15" t="s">
        <v>2</v>
      </c>
      <c r="G1" s="63" t="s">
        <v>48</v>
      </c>
    </row>
    <row r="2" spans="1:10" s="13" customFormat="1" x14ac:dyDescent="0.3">
      <c r="A2" s="1"/>
      <c r="B2" s="63" t="s">
        <v>38</v>
      </c>
      <c r="G2" s="63" t="s">
        <v>39</v>
      </c>
    </row>
    <row r="3" spans="1:10" ht="17.399999999999999" x14ac:dyDescent="0.3">
      <c r="A3" s="14" t="s">
        <v>40</v>
      </c>
      <c r="B3" s="64" t="s">
        <v>49</v>
      </c>
      <c r="C3" s="80" t="s">
        <v>50</v>
      </c>
      <c r="D3" s="81"/>
      <c r="E3" s="82"/>
      <c r="G3" s="64" t="s">
        <v>49</v>
      </c>
      <c r="H3" s="80" t="s">
        <v>50</v>
      </c>
      <c r="I3" s="81"/>
      <c r="J3" s="82"/>
    </row>
    <row r="4" spans="1:10" x14ac:dyDescent="0.3">
      <c r="A4" s="16" t="s">
        <v>26</v>
      </c>
      <c r="B4" s="49">
        <v>1</v>
      </c>
      <c r="C4" s="59">
        <v>1</v>
      </c>
      <c r="D4" s="60">
        <v>1</v>
      </c>
      <c r="E4" s="61">
        <v>1</v>
      </c>
      <c r="G4" s="49">
        <v>1</v>
      </c>
      <c r="H4" s="59">
        <v>1</v>
      </c>
      <c r="I4" s="60">
        <v>1</v>
      </c>
      <c r="J4" s="61">
        <v>1</v>
      </c>
    </row>
    <row r="5" spans="1:10" x14ac:dyDescent="0.3">
      <c r="A5" s="16" t="s">
        <v>27</v>
      </c>
      <c r="B5" s="50">
        <v>4.5</v>
      </c>
      <c r="C5" s="17">
        <v>4.5</v>
      </c>
      <c r="D5" s="18">
        <v>4.5</v>
      </c>
      <c r="E5" s="19">
        <v>4.5</v>
      </c>
      <c r="G5" s="50">
        <v>4.5</v>
      </c>
      <c r="H5" s="17">
        <v>4.5</v>
      </c>
      <c r="I5" s="18">
        <v>4.5</v>
      </c>
      <c r="J5" s="19">
        <v>4.5</v>
      </c>
    </row>
    <row r="6" spans="1:10" x14ac:dyDescent="0.3">
      <c r="A6" s="16" t="s">
        <v>28</v>
      </c>
      <c r="B6" s="51">
        <v>8500</v>
      </c>
      <c r="C6" s="20">
        <v>8500</v>
      </c>
      <c r="D6" s="21">
        <v>8500</v>
      </c>
      <c r="E6" s="22">
        <v>8500</v>
      </c>
      <c r="G6" s="51">
        <v>8500</v>
      </c>
      <c r="H6" s="20">
        <v>8500</v>
      </c>
      <c r="I6" s="21">
        <v>8500</v>
      </c>
      <c r="J6" s="22">
        <v>8500</v>
      </c>
    </row>
    <row r="7" spans="1:10" x14ac:dyDescent="0.3">
      <c r="A7" s="16" t="s">
        <v>29</v>
      </c>
      <c r="B7" s="51">
        <v>25000</v>
      </c>
      <c r="C7" s="20">
        <v>25000</v>
      </c>
      <c r="D7" s="21">
        <v>25000</v>
      </c>
      <c r="E7" s="22">
        <v>25000</v>
      </c>
      <c r="G7" s="51">
        <v>25000</v>
      </c>
      <c r="H7" s="20">
        <v>25000</v>
      </c>
      <c r="I7" s="21">
        <v>25000</v>
      </c>
      <c r="J7" s="22">
        <v>25000</v>
      </c>
    </row>
    <row r="8" spans="1:10" x14ac:dyDescent="0.3">
      <c r="A8" s="16" t="s">
        <v>30</v>
      </c>
      <c r="B8" s="51">
        <v>8000</v>
      </c>
      <c r="C8" s="20">
        <v>8000</v>
      </c>
      <c r="D8" s="21">
        <v>8000</v>
      </c>
      <c r="E8" s="22">
        <v>8000</v>
      </c>
      <c r="G8" s="51">
        <v>8000</v>
      </c>
      <c r="H8" s="20">
        <v>8000</v>
      </c>
      <c r="I8" s="21">
        <v>8000</v>
      </c>
      <c r="J8" s="22">
        <v>8000</v>
      </c>
    </row>
    <row r="9" spans="1:10" x14ac:dyDescent="0.3">
      <c r="A9" s="16" t="s">
        <v>12</v>
      </c>
      <c r="B9" s="51">
        <v>470</v>
      </c>
      <c r="C9" s="20">
        <v>470</v>
      </c>
      <c r="D9" s="21">
        <v>470</v>
      </c>
      <c r="E9" s="22">
        <v>470</v>
      </c>
      <c r="G9" s="51">
        <v>470</v>
      </c>
      <c r="H9" s="20">
        <v>470</v>
      </c>
      <c r="I9" s="21">
        <v>470</v>
      </c>
      <c r="J9" s="22">
        <v>470</v>
      </c>
    </row>
    <row r="10" spans="1:10" x14ac:dyDescent="0.3">
      <c r="A10" s="23" t="s">
        <v>13</v>
      </c>
      <c r="B10" s="52">
        <v>5</v>
      </c>
      <c r="C10" s="24">
        <v>10</v>
      </c>
      <c r="D10" s="25">
        <v>10</v>
      </c>
      <c r="E10" s="26">
        <v>10</v>
      </c>
      <c r="G10" s="52">
        <v>5</v>
      </c>
      <c r="H10" s="24">
        <v>10</v>
      </c>
      <c r="I10" s="25">
        <v>10</v>
      </c>
      <c r="J10" s="26">
        <v>10</v>
      </c>
    </row>
    <row r="11" spans="1:10" x14ac:dyDescent="0.3">
      <c r="A11" s="27" t="s">
        <v>14</v>
      </c>
      <c r="B11" s="50">
        <f t="shared" ref="B11:E11" si="0">(B22*(B10/2)*1)+(B23*(B10/2)*0.2)</f>
        <v>12.967499999999999</v>
      </c>
      <c r="C11" s="17">
        <f t="shared" si="0"/>
        <v>71.25</v>
      </c>
      <c r="D11" s="18">
        <f t="shared" si="0"/>
        <v>142.5</v>
      </c>
      <c r="E11" s="19">
        <f t="shared" si="0"/>
        <v>213.75</v>
      </c>
      <c r="G11" s="50">
        <f t="shared" ref="G11:J11" si="1">(G22*(G10/2)*1)+(G23*(G10/2)*0.2)</f>
        <v>9.5094999999999992</v>
      </c>
      <c r="H11" s="17">
        <f t="shared" si="1"/>
        <v>52.25</v>
      </c>
      <c r="I11" s="18">
        <f t="shared" si="1"/>
        <v>104.5</v>
      </c>
      <c r="J11" s="19">
        <f t="shared" si="1"/>
        <v>156.75</v>
      </c>
    </row>
    <row r="12" spans="1:10" x14ac:dyDescent="0.3">
      <c r="A12" s="27" t="s">
        <v>15</v>
      </c>
      <c r="B12" s="51">
        <f t="shared" ref="B12:E12" si="2">B22*8500+B23*(((((B10/2)-1))*8000)+25000)</f>
        <v>477749.99999999994</v>
      </c>
      <c r="C12" s="20">
        <f t="shared" si="2"/>
        <v>1987500</v>
      </c>
      <c r="D12" s="21">
        <f t="shared" si="2"/>
        <v>3975000</v>
      </c>
      <c r="E12" s="22">
        <f t="shared" si="2"/>
        <v>5962500</v>
      </c>
      <c r="G12" s="51">
        <f t="shared" ref="G12:J12" si="3">G22*8500+G23*(((((G10/2)-1))*8000)+25000)</f>
        <v>350349.99999999994</v>
      </c>
      <c r="H12" s="20">
        <f t="shared" si="3"/>
        <v>1457500</v>
      </c>
      <c r="I12" s="21">
        <f t="shared" si="3"/>
        <v>2915000</v>
      </c>
      <c r="J12" s="22">
        <f t="shared" si="3"/>
        <v>4372500</v>
      </c>
    </row>
    <row r="13" spans="1:10" x14ac:dyDescent="0.3">
      <c r="A13" s="27" t="s">
        <v>16</v>
      </c>
      <c r="B13" s="51">
        <f t="shared" ref="B13:E13" si="4">B12/1000</f>
        <v>477.74999999999994</v>
      </c>
      <c r="C13" s="20">
        <f t="shared" si="4"/>
        <v>1987.5</v>
      </c>
      <c r="D13" s="21">
        <f t="shared" si="4"/>
        <v>3975</v>
      </c>
      <c r="E13" s="22">
        <f t="shared" si="4"/>
        <v>5962.5</v>
      </c>
      <c r="G13" s="51">
        <f t="shared" ref="G13:J13" si="5">G12/1000</f>
        <v>350.34999999999997</v>
      </c>
      <c r="H13" s="20">
        <f t="shared" si="5"/>
        <v>1457.5</v>
      </c>
      <c r="I13" s="21">
        <f t="shared" si="5"/>
        <v>2915</v>
      </c>
      <c r="J13" s="22">
        <f t="shared" si="5"/>
        <v>4372.5</v>
      </c>
    </row>
    <row r="14" spans="1:10" x14ac:dyDescent="0.3">
      <c r="A14" s="16" t="s">
        <v>17</v>
      </c>
      <c r="B14" s="51">
        <f t="shared" ref="B14:E14" si="6">B9*B10</f>
        <v>2350</v>
      </c>
      <c r="C14" s="20">
        <f t="shared" si="6"/>
        <v>4700</v>
      </c>
      <c r="D14" s="21">
        <f t="shared" si="6"/>
        <v>4700</v>
      </c>
      <c r="E14" s="22">
        <f t="shared" si="6"/>
        <v>4700</v>
      </c>
      <c r="G14" s="51">
        <f t="shared" ref="G14:J14" si="7">G9*G10</f>
        <v>2350</v>
      </c>
      <c r="H14" s="20">
        <f t="shared" si="7"/>
        <v>4700</v>
      </c>
      <c r="I14" s="21">
        <f t="shared" si="7"/>
        <v>4700</v>
      </c>
      <c r="J14" s="22">
        <f t="shared" si="7"/>
        <v>4700</v>
      </c>
    </row>
    <row r="15" spans="1:10" x14ac:dyDescent="0.3">
      <c r="A15" s="16" t="s">
        <v>18</v>
      </c>
      <c r="B15" s="51">
        <f t="shared" ref="B15:E15" si="8">B14-B13</f>
        <v>1872.25</v>
      </c>
      <c r="C15" s="20">
        <f t="shared" si="8"/>
        <v>2712.5</v>
      </c>
      <c r="D15" s="21">
        <f t="shared" si="8"/>
        <v>725</v>
      </c>
      <c r="E15" s="22">
        <f t="shared" si="8"/>
        <v>-1262.5</v>
      </c>
      <c r="G15" s="51">
        <f t="shared" ref="G15:J15" si="9">G14-G13</f>
        <v>1999.65</v>
      </c>
      <c r="H15" s="20">
        <f t="shared" si="9"/>
        <v>3242.5</v>
      </c>
      <c r="I15" s="21">
        <f t="shared" si="9"/>
        <v>1785</v>
      </c>
      <c r="J15" s="22">
        <f t="shared" si="9"/>
        <v>327.5</v>
      </c>
    </row>
    <row r="16" spans="1:10" x14ac:dyDescent="0.3">
      <c r="A16" s="27" t="s">
        <v>19</v>
      </c>
      <c r="B16" s="53">
        <f t="shared" ref="B16:E16" si="10">B15/(B11/1000)</f>
        <v>144380.18122228648</v>
      </c>
      <c r="C16" s="28">
        <f t="shared" si="10"/>
        <v>38070.175438596496</v>
      </c>
      <c r="D16" s="29">
        <f t="shared" si="10"/>
        <v>5087.7192982456145</v>
      </c>
      <c r="E16" s="30">
        <f t="shared" si="10"/>
        <v>-5906.4327485380118</v>
      </c>
      <c r="G16" s="53">
        <f t="shared" ref="G16:J16" si="11">G15/(G11/1000)</f>
        <v>210279.19448972083</v>
      </c>
      <c r="H16" s="28">
        <f t="shared" si="11"/>
        <v>62057.416267942586</v>
      </c>
      <c r="I16" s="29">
        <f t="shared" si="11"/>
        <v>17081.33971291866</v>
      </c>
      <c r="J16" s="30">
        <f t="shared" si="11"/>
        <v>2089.3141945773523</v>
      </c>
    </row>
    <row r="17" spans="1:10" x14ac:dyDescent="0.3">
      <c r="A17" s="23" t="s">
        <v>34</v>
      </c>
      <c r="B17" s="54">
        <v>0.91</v>
      </c>
      <c r="C17" s="31">
        <v>2.5</v>
      </c>
      <c r="D17" s="32">
        <v>5</v>
      </c>
      <c r="E17" s="33">
        <v>7.5</v>
      </c>
      <c r="G17" s="54">
        <v>0.91</v>
      </c>
      <c r="H17" s="31">
        <v>2.5</v>
      </c>
      <c r="I17" s="32">
        <v>5</v>
      </c>
      <c r="J17" s="33">
        <v>7.5</v>
      </c>
    </row>
    <row r="18" spans="1:10" x14ac:dyDescent="0.3">
      <c r="A18" s="16" t="s">
        <v>20</v>
      </c>
      <c r="B18" s="55">
        <v>1000</v>
      </c>
      <c r="C18" s="34">
        <v>1000</v>
      </c>
      <c r="D18" s="35">
        <v>1000</v>
      </c>
      <c r="E18" s="36">
        <v>1000</v>
      </c>
      <c r="G18" s="55">
        <v>1000</v>
      </c>
      <c r="H18" s="34">
        <v>1000</v>
      </c>
      <c r="I18" s="35">
        <v>1000</v>
      </c>
      <c r="J18" s="36">
        <v>1000</v>
      </c>
    </row>
    <row r="19" spans="1:10" x14ac:dyDescent="0.3">
      <c r="A19" s="16" t="s">
        <v>31</v>
      </c>
      <c r="B19" s="56">
        <f t="shared" ref="B19:E19" si="12">B17/100*B18</f>
        <v>9.1</v>
      </c>
      <c r="C19" s="37">
        <f t="shared" si="12"/>
        <v>25</v>
      </c>
      <c r="D19" s="38">
        <f t="shared" si="12"/>
        <v>50</v>
      </c>
      <c r="E19" s="39">
        <f t="shared" si="12"/>
        <v>75</v>
      </c>
      <c r="G19" s="56">
        <f t="shared" ref="G19:J19" si="13">G17/100*G18</f>
        <v>9.1</v>
      </c>
      <c r="H19" s="37">
        <f t="shared" si="13"/>
        <v>25</v>
      </c>
      <c r="I19" s="38">
        <f t="shared" si="13"/>
        <v>50</v>
      </c>
      <c r="J19" s="39">
        <f t="shared" si="13"/>
        <v>75</v>
      </c>
    </row>
    <row r="20" spans="1:10" x14ac:dyDescent="0.3">
      <c r="A20" s="16" t="s">
        <v>32</v>
      </c>
      <c r="B20" s="56">
        <f t="shared" ref="B20:E20" si="14">(B19/2)*9</f>
        <v>40.949999999999996</v>
      </c>
      <c r="C20" s="37">
        <f t="shared" si="14"/>
        <v>112.5</v>
      </c>
      <c r="D20" s="38">
        <f t="shared" si="14"/>
        <v>225</v>
      </c>
      <c r="E20" s="39">
        <f t="shared" si="14"/>
        <v>337.5</v>
      </c>
      <c r="G20" s="56">
        <f t="shared" ref="G20:J20" si="15">(G19/2)*9</f>
        <v>40.949999999999996</v>
      </c>
      <c r="H20" s="37">
        <f t="shared" si="15"/>
        <v>112.5</v>
      </c>
      <c r="I20" s="38">
        <f t="shared" si="15"/>
        <v>225</v>
      </c>
      <c r="J20" s="39">
        <f t="shared" si="15"/>
        <v>337.5</v>
      </c>
    </row>
    <row r="21" spans="1:10" x14ac:dyDescent="0.3">
      <c r="A21" s="27" t="s">
        <v>21</v>
      </c>
      <c r="B21" s="56">
        <f t="shared" ref="B21:E21" si="16">B19+B20</f>
        <v>50.05</v>
      </c>
      <c r="C21" s="37">
        <f t="shared" si="16"/>
        <v>137.5</v>
      </c>
      <c r="D21" s="38">
        <f t="shared" si="16"/>
        <v>275</v>
      </c>
      <c r="E21" s="39">
        <f t="shared" si="16"/>
        <v>412.5</v>
      </c>
      <c r="G21" s="56">
        <f t="shared" ref="G21:J21" si="17">G19+G20</f>
        <v>50.05</v>
      </c>
      <c r="H21" s="37">
        <f t="shared" si="17"/>
        <v>137.5</v>
      </c>
      <c r="I21" s="38">
        <f t="shared" si="17"/>
        <v>275</v>
      </c>
      <c r="J21" s="39">
        <f t="shared" si="17"/>
        <v>412.5</v>
      </c>
    </row>
    <row r="22" spans="1:10" x14ac:dyDescent="0.3">
      <c r="A22" s="40" t="s">
        <v>35</v>
      </c>
      <c r="B22" s="57">
        <f>B19*0.3</f>
        <v>2.73</v>
      </c>
      <c r="C22" s="62">
        <f>C19*0.3</f>
        <v>7.5</v>
      </c>
      <c r="D22" s="42">
        <f>D19*0.3</f>
        <v>15</v>
      </c>
      <c r="E22" s="43">
        <f>E19*0.3</f>
        <v>22.5</v>
      </c>
      <c r="G22" s="57">
        <f>G19*0.22</f>
        <v>2.0019999999999998</v>
      </c>
      <c r="H22" s="41">
        <f t="shared" ref="H22:J22" si="18">H19*0.22</f>
        <v>5.5</v>
      </c>
      <c r="I22" s="44">
        <f t="shared" si="18"/>
        <v>11</v>
      </c>
      <c r="J22" s="45">
        <f t="shared" si="18"/>
        <v>16.5</v>
      </c>
    </row>
    <row r="23" spans="1:10" x14ac:dyDescent="0.3">
      <c r="A23" s="16" t="s">
        <v>33</v>
      </c>
      <c r="B23" s="50">
        <f>B20*0.3</f>
        <v>12.284999999999998</v>
      </c>
      <c r="C23" s="17">
        <f t="shared" ref="C23:E23" si="19">C20*0.3</f>
        <v>33.75</v>
      </c>
      <c r="D23" s="18">
        <f t="shared" si="19"/>
        <v>67.5</v>
      </c>
      <c r="E23" s="19">
        <f t="shared" si="19"/>
        <v>101.25</v>
      </c>
      <c r="G23" s="50">
        <f>G20*0.22</f>
        <v>9.0089999999999986</v>
      </c>
      <c r="H23" s="17">
        <f t="shared" ref="H23:J23" si="20">H20*0.22</f>
        <v>24.75</v>
      </c>
      <c r="I23" s="18">
        <f t="shared" si="20"/>
        <v>49.5</v>
      </c>
      <c r="J23" s="19">
        <f t="shared" si="20"/>
        <v>74.25</v>
      </c>
    </row>
    <row r="24" spans="1:10" x14ac:dyDescent="0.3">
      <c r="A24" s="27" t="s">
        <v>70</v>
      </c>
      <c r="B24" s="50">
        <f t="shared" ref="B24" si="21">B22+B23</f>
        <v>15.014999999999999</v>
      </c>
      <c r="C24" s="17">
        <f t="shared" ref="C24:E24" si="22">C22+C23</f>
        <v>41.25</v>
      </c>
      <c r="D24" s="18">
        <f t="shared" si="22"/>
        <v>82.5</v>
      </c>
      <c r="E24" s="19">
        <f t="shared" si="22"/>
        <v>123.75</v>
      </c>
      <c r="G24" s="50">
        <f t="shared" ref="G24:J24" si="23">G22+G23</f>
        <v>11.010999999999999</v>
      </c>
      <c r="H24" s="17">
        <f t="shared" si="23"/>
        <v>30.25</v>
      </c>
      <c r="I24" s="18">
        <f t="shared" si="23"/>
        <v>60.5</v>
      </c>
      <c r="J24" s="19">
        <f t="shared" si="23"/>
        <v>90.75</v>
      </c>
    </row>
    <row r="25" spans="1:10" x14ac:dyDescent="0.3">
      <c r="A25" s="16" t="s">
        <v>22</v>
      </c>
      <c r="B25" s="50">
        <f t="shared" ref="B25:E25" si="24">(B19+B20)/B18*100</f>
        <v>5.0049999999999999</v>
      </c>
      <c r="C25" s="37">
        <f t="shared" si="24"/>
        <v>13.750000000000002</v>
      </c>
      <c r="D25" s="38">
        <f t="shared" si="24"/>
        <v>27.500000000000004</v>
      </c>
      <c r="E25" s="39">
        <f t="shared" si="24"/>
        <v>41.25</v>
      </c>
      <c r="G25" s="50">
        <f t="shared" ref="G25:J25" si="25">(G19+G20)/G18*100</f>
        <v>5.0049999999999999</v>
      </c>
      <c r="H25" s="37">
        <f t="shared" si="25"/>
        <v>13.750000000000002</v>
      </c>
      <c r="I25" s="38">
        <f t="shared" si="25"/>
        <v>27.500000000000004</v>
      </c>
      <c r="J25" s="39">
        <f t="shared" si="25"/>
        <v>41.25</v>
      </c>
    </row>
    <row r="26" spans="1:10" x14ac:dyDescent="0.3">
      <c r="A26" s="16" t="s">
        <v>23</v>
      </c>
      <c r="B26" s="50">
        <f t="shared" ref="B26:E26" si="26">(B22+B23)/B18*100</f>
        <v>1.5014999999999998</v>
      </c>
      <c r="C26" s="37">
        <f t="shared" si="26"/>
        <v>4.125</v>
      </c>
      <c r="D26" s="38">
        <f t="shared" si="26"/>
        <v>8.25</v>
      </c>
      <c r="E26" s="39">
        <f t="shared" si="26"/>
        <v>12.375</v>
      </c>
      <c r="G26" s="50">
        <f t="shared" ref="G26:J26" si="27">(G22+G23)/G18*100</f>
        <v>1.1011</v>
      </c>
      <c r="H26" s="37">
        <f t="shared" si="27"/>
        <v>3.0249999999999999</v>
      </c>
      <c r="I26" s="38">
        <f t="shared" si="27"/>
        <v>6.05</v>
      </c>
      <c r="J26" s="39">
        <f t="shared" si="27"/>
        <v>9.0749999999999993</v>
      </c>
    </row>
    <row r="27" spans="1:10" x14ac:dyDescent="0.3">
      <c r="A27" s="40" t="s">
        <v>24</v>
      </c>
      <c r="B27" s="58">
        <f t="shared" ref="B27:E27" si="28">100/B26</f>
        <v>66.600066600066611</v>
      </c>
      <c r="C27" s="46">
        <f t="shared" si="28"/>
        <v>24.242424242424242</v>
      </c>
      <c r="D27" s="47">
        <f t="shared" si="28"/>
        <v>12.121212121212121</v>
      </c>
      <c r="E27" s="48">
        <f t="shared" si="28"/>
        <v>8.0808080808080813</v>
      </c>
      <c r="G27" s="58">
        <f t="shared" ref="G27:J27" si="29">100/G26</f>
        <v>90.818272636454452</v>
      </c>
      <c r="H27" s="46">
        <f t="shared" si="29"/>
        <v>33.057851239669425</v>
      </c>
      <c r="I27" s="47">
        <f t="shared" si="29"/>
        <v>16.528925619834713</v>
      </c>
      <c r="J27" s="48">
        <f t="shared" si="29"/>
        <v>11.019283746556475</v>
      </c>
    </row>
    <row r="31" spans="1:10" x14ac:dyDescent="0.3">
      <c r="A31" s="1" t="s">
        <v>71</v>
      </c>
    </row>
    <row r="32" spans="1:10" x14ac:dyDescent="0.3">
      <c r="A32" s="89" t="s">
        <v>72</v>
      </c>
    </row>
  </sheetData>
  <mergeCells count="2">
    <mergeCell ref="C3:E3"/>
    <mergeCell ref="H3:J3"/>
  </mergeCells>
  <hyperlinks>
    <hyperlink ref="A3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H2" sqref="H2:H3"/>
    </sheetView>
  </sheetViews>
  <sheetFormatPr baseColWidth="10" defaultRowHeight="14.4" x14ac:dyDescent="0.3"/>
  <cols>
    <col min="1" max="1" width="11.5546875" style="1"/>
    <col min="2" max="2" width="19.109375" style="1" customWidth="1"/>
    <col min="3" max="9" width="11.5546875" style="65"/>
    <col min="10" max="16384" width="11.5546875" style="1"/>
  </cols>
  <sheetData>
    <row r="1" spans="2:9" x14ac:dyDescent="0.3">
      <c r="G1" s="1"/>
      <c r="H1" s="1"/>
      <c r="I1" s="1"/>
    </row>
    <row r="2" spans="2:9" x14ac:dyDescent="0.3">
      <c r="B2" s="8" t="s">
        <v>66</v>
      </c>
      <c r="C2" s="78">
        <v>2.5000000000000001E-2</v>
      </c>
      <c r="D2" s="78">
        <v>0.05</v>
      </c>
      <c r="E2" s="78">
        <v>7.4999999999999997E-2</v>
      </c>
      <c r="G2" s="1"/>
      <c r="H2" s="1" t="s">
        <v>71</v>
      </c>
      <c r="I2" s="1"/>
    </row>
    <row r="3" spans="2:9" x14ac:dyDescent="0.3">
      <c r="B3" s="76" t="s">
        <v>67</v>
      </c>
      <c r="C3" s="77">
        <f>D18+D19+G18+G19+G20</f>
        <v>86</v>
      </c>
      <c r="D3" s="77">
        <f>D19+D20+G19+G20</f>
        <v>14</v>
      </c>
      <c r="E3" s="77">
        <f>G20</f>
        <v>5</v>
      </c>
      <c r="G3" s="1"/>
      <c r="H3" s="89" t="s">
        <v>72</v>
      </c>
      <c r="I3" s="1"/>
    </row>
    <row r="4" spans="2:9" x14ac:dyDescent="0.3">
      <c r="B4" s="76" t="s">
        <v>68</v>
      </c>
      <c r="C4" s="77">
        <f>D16+D17+G16+G17</f>
        <v>221</v>
      </c>
      <c r="D4" s="77">
        <f>E16+E17+E18+H16+H17+H18</f>
        <v>146</v>
      </c>
      <c r="E4" s="77">
        <f>D16+D17+D18+D19+G16+G17+G18+G19</f>
        <v>302</v>
      </c>
      <c r="G4" s="1"/>
      <c r="H4" s="1"/>
      <c r="I4" s="1"/>
    </row>
    <row r="5" spans="2:9" x14ac:dyDescent="0.3">
      <c r="B5" s="8" t="s">
        <v>69</v>
      </c>
      <c r="C5" s="79">
        <f t="shared" ref="C5" si="0">C3/(C3+C4)</f>
        <v>0.28013029315960913</v>
      </c>
      <c r="D5" s="79">
        <f t="shared" ref="D5:E5" si="1">D3/(D3+D4)</f>
        <v>8.7499999999999994E-2</v>
      </c>
      <c r="E5" s="79">
        <f t="shared" si="1"/>
        <v>1.6286644951140065E-2</v>
      </c>
      <c r="G5" s="1"/>
      <c r="H5" s="1"/>
      <c r="I5" s="1"/>
    </row>
    <row r="6" spans="2:9" x14ac:dyDescent="0.3">
      <c r="G6" s="1"/>
      <c r="H6" s="1"/>
      <c r="I6" s="1"/>
    </row>
    <row r="7" spans="2:9" x14ac:dyDescent="0.3">
      <c r="B7" s="8" t="s">
        <v>65</v>
      </c>
      <c r="C7" s="78">
        <v>2.5000000000000001E-2</v>
      </c>
      <c r="D7" s="78">
        <v>0.05</v>
      </c>
      <c r="E7" s="78">
        <v>7.4999999999999997E-2</v>
      </c>
      <c r="G7" s="1"/>
      <c r="H7" s="1"/>
      <c r="I7" s="1"/>
    </row>
    <row r="8" spans="2:9" x14ac:dyDescent="0.3">
      <c r="B8" s="76" t="s">
        <v>67</v>
      </c>
      <c r="C8" s="77">
        <f>D28+D29+D30+G28+G29+G30</f>
        <v>124</v>
      </c>
      <c r="D8" s="77">
        <f>D29+D30+G29+G30</f>
        <v>23</v>
      </c>
      <c r="E8" s="77">
        <f>D30+G30</f>
        <v>6</v>
      </c>
      <c r="G8" s="1"/>
      <c r="H8" s="1"/>
      <c r="I8" s="1"/>
    </row>
    <row r="9" spans="2:9" x14ac:dyDescent="0.3">
      <c r="B9" s="76" t="s">
        <v>68</v>
      </c>
      <c r="C9" s="77">
        <f>D26+D27+G26+G27</f>
        <v>325</v>
      </c>
      <c r="D9" s="77">
        <f>D26+D27+D28+G26+G27+G28</f>
        <v>426</v>
      </c>
      <c r="E9" s="77">
        <f>D26+D27+D28+D29+G26+G27+G28+G29</f>
        <v>443</v>
      </c>
      <c r="G9" s="1"/>
      <c r="H9" s="1"/>
      <c r="I9" s="1"/>
    </row>
    <row r="10" spans="2:9" x14ac:dyDescent="0.3">
      <c r="B10" s="8" t="s">
        <v>69</v>
      </c>
      <c r="C10" s="79">
        <f t="shared" ref="C10:E10" si="2">C8/(C8+C9)</f>
        <v>0.27616926503340755</v>
      </c>
      <c r="D10" s="79">
        <f t="shared" si="2"/>
        <v>5.1224944320712694E-2</v>
      </c>
      <c r="E10" s="79">
        <f t="shared" si="2"/>
        <v>1.3363028953229399E-2</v>
      </c>
      <c r="G10" s="1"/>
      <c r="H10" s="1"/>
      <c r="I10" s="1"/>
    </row>
    <row r="14" spans="2:9" ht="15" thickBot="1" x14ac:dyDescent="0.35"/>
    <row r="15" spans="2:9" ht="15" thickBot="1" x14ac:dyDescent="0.35">
      <c r="B15" s="66" t="s">
        <v>51</v>
      </c>
      <c r="C15" s="67" t="s">
        <v>52</v>
      </c>
      <c r="D15" s="67" t="s">
        <v>53</v>
      </c>
      <c r="E15" s="68" t="s">
        <v>54</v>
      </c>
      <c r="F15" s="67" t="s">
        <v>55</v>
      </c>
      <c r="G15" s="67" t="s">
        <v>53</v>
      </c>
      <c r="H15" s="68" t="s">
        <v>54</v>
      </c>
    </row>
    <row r="16" spans="2:9" ht="15" thickBot="1" x14ac:dyDescent="0.35">
      <c r="B16" s="69" t="s">
        <v>56</v>
      </c>
      <c r="C16" s="70">
        <v>706</v>
      </c>
      <c r="D16" s="70">
        <v>55</v>
      </c>
      <c r="E16" s="71">
        <v>8</v>
      </c>
      <c r="F16" s="70">
        <v>288</v>
      </c>
      <c r="G16" s="70">
        <v>27</v>
      </c>
      <c r="H16" s="71">
        <v>9</v>
      </c>
    </row>
    <row r="17" spans="2:8" ht="15" thickBot="1" x14ac:dyDescent="0.35">
      <c r="B17" s="69" t="s">
        <v>57</v>
      </c>
      <c r="C17" s="70">
        <v>171</v>
      </c>
      <c r="D17" s="70">
        <v>31</v>
      </c>
      <c r="E17" s="71">
        <v>18</v>
      </c>
      <c r="F17" s="70">
        <v>377</v>
      </c>
      <c r="G17" s="70">
        <v>108</v>
      </c>
      <c r="H17" s="71">
        <v>29</v>
      </c>
    </row>
    <row r="18" spans="2:8" ht="15" thickBot="1" x14ac:dyDescent="0.35">
      <c r="B18" s="69" t="s">
        <v>58</v>
      </c>
      <c r="C18" s="70">
        <v>26</v>
      </c>
      <c r="D18" s="70">
        <v>10</v>
      </c>
      <c r="E18" s="71">
        <v>38</v>
      </c>
      <c r="F18" s="70">
        <v>141</v>
      </c>
      <c r="G18" s="70">
        <v>62</v>
      </c>
      <c r="H18" s="71">
        <v>44</v>
      </c>
    </row>
    <row r="19" spans="2:8" ht="15" thickBot="1" x14ac:dyDescent="0.35">
      <c r="B19" s="69" t="s">
        <v>59</v>
      </c>
      <c r="C19" s="70">
        <v>2</v>
      </c>
      <c r="D19" s="70">
        <v>1</v>
      </c>
      <c r="E19" s="71">
        <v>50</v>
      </c>
      <c r="F19" s="70">
        <v>20</v>
      </c>
      <c r="G19" s="70">
        <v>8</v>
      </c>
      <c r="H19" s="71">
        <v>40</v>
      </c>
    </row>
    <row r="20" spans="2:8" ht="15" thickBot="1" x14ac:dyDescent="0.35">
      <c r="B20" s="69" t="s">
        <v>60</v>
      </c>
      <c r="C20" s="70">
        <v>0</v>
      </c>
      <c r="D20" s="70">
        <v>0</v>
      </c>
      <c r="E20" s="71">
        <v>0</v>
      </c>
      <c r="F20" s="70">
        <v>7</v>
      </c>
      <c r="G20" s="70">
        <v>5</v>
      </c>
      <c r="H20" s="71">
        <v>71</v>
      </c>
    </row>
    <row r="21" spans="2:8" ht="15" thickBot="1" x14ac:dyDescent="0.35">
      <c r="B21" s="72" t="s">
        <v>61</v>
      </c>
      <c r="C21" s="73">
        <v>905</v>
      </c>
      <c r="D21" s="73">
        <v>97</v>
      </c>
      <c r="E21" s="74">
        <v>11</v>
      </c>
      <c r="F21" s="73">
        <v>833</v>
      </c>
      <c r="G21" s="73">
        <v>210</v>
      </c>
      <c r="H21" s="74">
        <v>25</v>
      </c>
    </row>
    <row r="23" spans="2:8" ht="15" thickBot="1" x14ac:dyDescent="0.35"/>
    <row r="24" spans="2:8" x14ac:dyDescent="0.3">
      <c r="B24" s="83" t="s">
        <v>62</v>
      </c>
      <c r="C24" s="85" t="s">
        <v>52</v>
      </c>
      <c r="D24" s="87" t="s">
        <v>53</v>
      </c>
      <c r="E24" s="75" t="s">
        <v>63</v>
      </c>
      <c r="F24" s="85" t="s">
        <v>55</v>
      </c>
      <c r="G24" s="87" t="s">
        <v>53</v>
      </c>
      <c r="H24" s="75" t="s">
        <v>63</v>
      </c>
    </row>
    <row r="25" spans="2:8" ht="15" thickBot="1" x14ac:dyDescent="0.35">
      <c r="B25" s="84"/>
      <c r="C25" s="86"/>
      <c r="D25" s="88"/>
      <c r="E25" s="74" t="s">
        <v>64</v>
      </c>
      <c r="F25" s="86"/>
      <c r="G25" s="88"/>
      <c r="H25" s="74" t="s">
        <v>64</v>
      </c>
    </row>
    <row r="26" spans="2:8" ht="15" thickBot="1" x14ac:dyDescent="0.35">
      <c r="B26" s="69" t="s">
        <v>56</v>
      </c>
      <c r="C26" s="70">
        <v>1397</v>
      </c>
      <c r="D26" s="70">
        <v>99</v>
      </c>
      <c r="E26" s="71">
        <v>7</v>
      </c>
      <c r="F26" s="70">
        <v>137</v>
      </c>
      <c r="G26" s="70">
        <v>31</v>
      </c>
      <c r="H26" s="71">
        <v>23</v>
      </c>
    </row>
    <row r="27" spans="2:8" ht="15" thickBot="1" x14ac:dyDescent="0.35">
      <c r="B27" s="69" t="s">
        <v>57</v>
      </c>
      <c r="C27" s="70">
        <v>292</v>
      </c>
      <c r="D27" s="70">
        <v>91</v>
      </c>
      <c r="E27" s="71">
        <v>31</v>
      </c>
      <c r="F27" s="70">
        <v>266</v>
      </c>
      <c r="G27" s="70">
        <v>104</v>
      </c>
      <c r="H27" s="71">
        <v>39</v>
      </c>
    </row>
    <row r="28" spans="2:8" ht="15" thickBot="1" x14ac:dyDescent="0.35">
      <c r="B28" s="69" t="s">
        <v>58</v>
      </c>
      <c r="C28" s="70">
        <v>37</v>
      </c>
      <c r="D28" s="70">
        <v>28</v>
      </c>
      <c r="E28" s="71">
        <v>76</v>
      </c>
      <c r="F28" s="70">
        <v>123</v>
      </c>
      <c r="G28" s="70">
        <v>73</v>
      </c>
      <c r="H28" s="71">
        <v>59</v>
      </c>
    </row>
    <row r="29" spans="2:8" ht="15" thickBot="1" x14ac:dyDescent="0.35">
      <c r="B29" s="69" t="s">
        <v>59</v>
      </c>
      <c r="C29" s="70">
        <v>3</v>
      </c>
      <c r="D29" s="70">
        <v>3</v>
      </c>
      <c r="E29" s="71">
        <v>100</v>
      </c>
      <c r="F29" s="70">
        <v>18</v>
      </c>
      <c r="G29" s="70">
        <v>14</v>
      </c>
      <c r="H29" s="71">
        <v>78</v>
      </c>
    </row>
    <row r="30" spans="2:8" ht="15" thickBot="1" x14ac:dyDescent="0.35">
      <c r="B30" s="69" t="s">
        <v>60</v>
      </c>
      <c r="C30" s="70">
        <v>1</v>
      </c>
      <c r="D30" s="70">
        <v>1</v>
      </c>
      <c r="E30" s="71">
        <v>0</v>
      </c>
      <c r="F30" s="70">
        <v>6</v>
      </c>
      <c r="G30" s="70">
        <v>5</v>
      </c>
      <c r="H30" s="71">
        <v>0</v>
      </c>
    </row>
    <row r="31" spans="2:8" ht="15" thickBot="1" x14ac:dyDescent="0.35">
      <c r="B31" s="72" t="s">
        <v>61</v>
      </c>
      <c r="C31" s="73">
        <v>1730</v>
      </c>
      <c r="D31" s="73">
        <v>222</v>
      </c>
      <c r="E31" s="74">
        <v>13</v>
      </c>
      <c r="F31" s="73">
        <v>550</v>
      </c>
      <c r="G31" s="73">
        <v>227</v>
      </c>
      <c r="H31" s="74">
        <v>41</v>
      </c>
    </row>
  </sheetData>
  <mergeCells count="5">
    <mergeCell ref="B24:B25"/>
    <mergeCell ref="C24:C25"/>
    <mergeCell ref="D24:D25"/>
    <mergeCell ref="F24:F25"/>
    <mergeCell ref="G24:G25"/>
  </mergeCells>
  <hyperlinks>
    <hyperlink ref="H3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CTT</vt:lpstr>
      <vt:lpstr>QALY</vt:lpstr>
      <vt:lpstr>SENS</vt:lpstr>
    </vt:vector>
  </TitlesOfParts>
  <Company>Kardiolab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Romanens Michel</dc:creator>
  <cp:lastModifiedBy>Mikey</cp:lastModifiedBy>
  <cp:lastPrinted>2017-03-04T18:10:44Z</cp:lastPrinted>
  <dcterms:created xsi:type="dcterms:W3CDTF">2015-05-31T06:53:27Z</dcterms:created>
  <dcterms:modified xsi:type="dcterms:W3CDTF">2017-03-08T06:45:08Z</dcterms:modified>
</cp:coreProperties>
</file>